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market_cap_m">Model!$B$25</definedName>
    <definedName name="future_financing_shares_m">Model!$B$43</definedName>
    <definedName name="post_financing_shares_m">Model!$B$45</definedName>
    <definedName name="corporate_burn_to_financing_m">Model!$B$8</definedName>
    <definedName name="gold_price">Model!$B$11</definedName>
    <definedName name="project_debt_ratio">Model!$B$13</definedName>
    <definedName name="retained_cash_m">Model!$B$15</definedName>
    <definedName name="silver_price">Model!$B$16</definedName>
    <definedName name="copper_npv_sensitivity_per_dollar_m">Model!$B$24</definedName>
    <definedName name="npv_curve_gold_prices">Model!$B$27:$L$27</definedName>
    <definedName name="cash_available_for_project_m">Model!$B$38</definedName>
    <definedName name="project_nav_multiple">Model!$B$14</definedName>
    <definedName name="base_case_silver_price">Model!$B$19</definedName>
    <definedName name="common_equivalents_m">Model!$B$22</definedName>
    <definedName name="option_warrant_proceeds_m">Model!$B$28</definedName>
    <definedName name="future_financing_price">Model!$B$35</definedName>
    <definedName name="construction_equity_need_m">Model!$B$40</definedName>
    <definedName name="raw_fair_value">Model!$B$46</definedName>
    <definedName name="project_npv5_gold_only_m">Model!$B$36</definedName>
    <definedName name="cash_m">Model!$B$21</definedName>
    <definedName name="financing_discount_to_current">Model!$B$10</definedName>
    <definedName name="base_case_copper_price">Model!$B$18</definedName>
    <definedName name="silver_npv_sensitivity_per_dollar_m">Model!$B$29</definedName>
    <definedName name="cash_and_exercise_proceeds_m">Model!$B$31</definedName>
    <definedName name="current_ev_m">Model!$B$33</definedName>
    <definedName name="current_fd_shares_m">Model!$B$34</definedName>
    <definedName name="current_price">Model!$B$9</definedName>
    <definedName name="optional_assets_m">Model!$B$12</definedName>
    <definedName name="basic_shares_m">Model!$B$20</definedName>
    <definedName name="npv_curve_after_tax_m">Model!$B$26:$L$26</definedName>
    <definedName name="copper_credit_m">Model!$B$32</definedName>
    <definedName name="silver_credit_m">Model!$B$37</definedName>
    <definedName name="fair_value">Model!$B$47</definedName>
    <definedName name="copper_price">Model!$B$7</definedName>
    <definedName name="construction_capex_m">Model!$B$23</definedName>
    <definedName name="project_npv5_m">Model!$B$39</definedName>
    <definedName name="current_ev_to_adjusted_project_npv">Model!$B$41</definedName>
    <definedName name="risked_project_nav_m">Model!$B$42</definedName>
    <definedName name="equity_nav_m">Model!$B$44</definedName>
    <definedName name="upside">Model!$B$48</definedName>
  </definedNames>
  <calcPr calcId="122211" fullCalcOnLoad="true"/>
</workbook>
</file>

<file path=xl/sharedStrings.xml><?xml version="1.0" encoding="utf-8"?>
<sst xmlns="http://schemas.openxmlformats.org/spreadsheetml/2006/main" count="118" uniqueCount="118">
  <si>
    <t>USAU CK Gold project NPV DCF valuation</t>
  </si>
  <si>
    <t xml:space="preserve">Risk-adjusted CK Gold feasibility-study NPV valuation. The model starts with the May 2026 S-K 1300 after-tax NPV5 sensitivity table, adjusts for current copper and silver prices, then applies a development-stage NAV multiple, expected project financing dilution, corporate cash, expected burn, and non-CK optionality.
</t>
  </si>
  <si>
    <t>As of 2026-10-19  ·  Currency: USD  ·  https://modeledge.ai/model/fm_8a0b3cd781752b43f611cd65bbc90432</t>
  </si>
  <si>
    <t>p1500</t>
  </si>
  <si>
    <t>p2000</t>
  </si>
  <si>
    <t>p2500</t>
  </si>
  <si>
    <t>p3000</t>
  </si>
  <si>
    <t>p3250</t>
  </si>
  <si>
    <t>p3500</t>
  </si>
  <si>
    <t>p4000</t>
  </si>
  <si>
    <t>p4500</t>
  </si>
  <si>
    <t>p5000</t>
  </si>
  <si>
    <t>p5500</t>
  </si>
  <si>
    <t>p6000</t>
  </si>
  <si>
    <t>Inputs</t>
  </si>
  <si>
    <t>Copper price</t>
  </si>
  <si>
    <t>Burn to financing</t>
  </si>
  <si>
    <t>Current USAU share price</t>
  </si>
  <si>
    <t>Financing price/current price</t>
  </si>
  <si>
    <t>Gold price</t>
  </si>
  <si>
    <t>Non-CK optionality</t>
  </si>
  <si>
    <t>Project debt funding</t>
  </si>
  <si>
    <t>Risked NAV multiple</t>
  </si>
  <si>
    <t>Retained cash</t>
  </si>
  <si>
    <t>Silver price</t>
  </si>
  <si>
    <t>Constants</t>
  </si>
  <si>
    <t>base_case_copper_price</t>
  </si>
  <si>
    <t>base_case_silver_price</t>
  </si>
  <si>
    <t>basic_shares_m</t>
  </si>
  <si>
    <t>cash_m</t>
  </si>
  <si>
    <t>common_equivalents_m</t>
  </si>
  <si>
    <t>construction_capex_m</t>
  </si>
  <si>
    <t>copper_npv_sensitivity_per_dollar_m</t>
  </si>
  <si>
    <t>current_market_cap_m</t>
  </si>
  <si>
    <t>npv_curve_after_tax_m</t>
  </si>
  <si>
    <t>npv_curve_gold_prices</t>
  </si>
  <si>
    <t>option_warrant_proceeds_m</t>
  </si>
  <si>
    <t>silver_npv_sensitivity_per_dollar_m</t>
  </si>
  <si>
    <t>Calculations</t>
  </si>
  <si>
    <t>cash_and_exercise_proceeds_m</t>
  </si>
  <si>
    <t>copper_credit_m</t>
  </si>
  <si>
    <t>current_ev_m</t>
  </si>
  <si>
    <t>current_fd_shares_m</t>
  </si>
  <si>
    <t>future_financing_price</t>
  </si>
  <si>
    <t>project_npv5_gold_only_m</t>
  </si>
  <si>
    <t>interp segment for x=gold_price</t>
  </si>
  <si>
    <t>interp value for x=gold_price</t>
  </si>
  <si>
    <t>silver_credit_m</t>
  </si>
  <si>
    <t>cash_available_for_project_m</t>
  </si>
  <si>
    <t>project_npv5_m</t>
  </si>
  <si>
    <t>construction_equity_need_m</t>
  </si>
  <si>
    <t>current_ev_to_adjusted_project_npv</t>
  </si>
  <si>
    <t>risked_project_nav_m</t>
  </si>
  <si>
    <t>future_financing_shares_m</t>
  </si>
  <si>
    <t>equity_nav_m</t>
  </si>
  <si>
    <t>post_financing_shares_m</t>
  </si>
  <si>
    <t>raw_fair_value</t>
  </si>
  <si>
    <t>fair_value</t>
  </si>
  <si>
    <t>upside</t>
  </si>
  <si>
    <t>Outputs</t>
  </si>
  <si>
    <t>Fair value</t>
  </si>
  <si>
    <t>Upside/downside</t>
  </si>
  <si>
    <t>Adjusted CK Gold NPV5</t>
  </si>
  <si>
    <t>Risked project NAV</t>
  </si>
  <si>
    <t>Future common equity need</t>
  </si>
  <si>
    <t>Post-financing shares</t>
  </si>
  <si>
    <t>Current EV / adjusted NPV</t>
  </si>
  <si>
    <t>Fair value vs gold and risked NAV multiple (static)</t>
  </si>
  <si>
    <t>Fair value vs gold and project debt funding (static)</t>
  </si>
  <si>
    <t>Scenarios (reference)</t>
  </si>
  <si>
    <t>base</t>
  </si>
  <si>
    <t/>
  </si>
  <si>
    <t>bear</t>
  </si>
  <si>
    <t>copper_price = 4.5, corporate_burn_to_financing_m = 20, financing_discount_to_current = 0.75, gold_price = 3250, optional_assets_m = 10, project_debt_ratio = 0.4, project_nav_multiple = 0.25, silver_price = 40</t>
  </si>
  <si>
    <t>bull</t>
  </si>
  <si>
    <t>copper_price = 6.5, corporate_burn_to_financing_m = 10, financing_discount_to_current = 0.95, gold_price = 5000, optional_assets_m = 50, project_debt_ratio = 0.65, project_nav_multiple = 0.65, silver_price = 75</t>
  </si>
  <si>
    <t>Claim</t>
  </si>
  <si>
    <t>URL</t>
  </si>
  <si>
    <t>Accessed</t>
  </si>
  <si>
    <t>October 19 Model Edge reference USAU price $11.2; provider/refresh timestamp 2026-10-19T15:24:42.491986-06:00. Retrieval timestamps are not trade timestamps or asserted official closing prints. Financial anchors retain their separately disclosed dates.</t>
  </si>
  <si>
    <t>2026-10-19</t>
  </si>
  <si>
    <t>October 19, 2026: Refresh the same-page Trading Economics OTC/CFD references to gold $4,137.81/oz, copper $6.5475/lb and silver $57.048/oz; these are observed reference marks, not official settlements. Stock reference $11.20 also increases construction-equity dilution mechanically under the existing financing-at-85%-of-price formula. Refresh market-cap diagnostic to $185.121003M, separately provider-dated October 19 00:00Z. Preserve FS sensitivity curve, 45% NAV factor, 55% non-common funding, existing cash/share bridge and fixed bear/bull metals.</t>
  </si>
  <si>
    <t>https://tradingeconomics.com/commodities</t>
  </si>
  <si>
    <t>October 14 Model Edge regular-session reference USAU price $11.94, refreshed 2026-10-14T14:58:22.806277-06:00. Price refresh changes market-relative outputs; separate evidence/relative-method changes are described below.</t>
  </si>
  <si>
    <t>https://modeledge.ai/company/USAU</t>
  </si>
  <si>
    <t>2026-10-14</t>
  </si>
  <si>
    <t>Refresh observed October 14 Trading Economics OTC/CFD references to gold $4,105.57/oz, copper $6.5610/lb and silver $55.629/oz; these are not official settlements. Price $11.94 also mechanically increases financing dilution under the existing 85%-of-price formula. Market-cap diagnostic $197.023886M is separately provider-dated October 14 00:00Z. Preserve feasibility NPV curve, 45% NAV factor, 55% non-common funding, cash/share bridge and fixed scenario metals.</t>
  </si>
  <si>
    <t>https://tradingeconomics.com/commodity/gold</t>
  </si>
  <si>
    <t>September 30 Modeledge reference USAU price $14.86, refreshed 2026-09-30T15:27:35.616445-06:00. This quote refresh changes market-relative outputs; any intrinsic effects are separately explained. For USAU only, the existing financing-price formula mechanically links valuation to price.</t>
  </si>
  <si>
    <t>2026-09-30</t>
  </si>
  <si>
    <t>September 30: seven September 29 Forms 4 disclose September 28 grants totaling 54,552 deferred/restricted stock units and 94,816 options at $14.80. Add 0.149368M to common equivalents (4.048874M to 4.198242M), not issued basic shares; add $1.4032768M conditional exercise proceeds under the existing fully exercised NAV convention. Awards generally require one year of service; deferred units also await board-service cessation. Do not double-count Luke Norman's corrected direct/indirect holdings. Refresh observed Trading Economics OTC/CFD references to gold $4,157.80/oz, copper $6.5793/lb and silver $60.407/oz, not official settlements; price $14.86 affects financing dilution through the existing 85% formula. Market-cap diagnostic $245.207282M (provider September 30 00:00Z). Preserve 16.528663M basic shares, cash bridge, feasibility NPV curve, 45% NAV factor, 55% non-common funding and scenario metal assumptions.</t>
  </si>
  <si>
    <t>https://modeledge.ai/company/USAU/filing/4/0001493152-26-044936</t>
  </si>
  <si>
    <t>Additional supporting source for the September 30 USAU review; see the first dated source note.</t>
  </si>
  <si>
    <t>https://modeledge.ai/company/USAU/filing/4/0001493152-26-044937</t>
  </si>
  <si>
    <t>https://modeledge.ai/company/USAU/filing/4/0001493152-26-044934</t>
  </si>
  <si>
    <t>https://modeledge.ai/company/USAU/filing/4/0001493152-26-044939</t>
  </si>
  <si>
    <t>https://modeledge.ai/company/USAU/filing/4/0001493152-26-044938</t>
  </si>
  <si>
    <t>https://modeledge.ai/company/USAU/filing/4/0001493152-26-044935</t>
  </si>
  <si>
    <t>https://modeledge.ai/company/USAU/filing/4/0001493152-26-044940</t>
  </si>
  <si>
    <t>https://tradingeconomics.com/commodity/copper</t>
  </si>
  <si>
    <t>https://tradingeconomics.com/commodity/silver</t>
  </si>
  <si>
    <t>September 28 Modeledge reference USAU stock price $14.8, retrieved 2026-09-28T16:46:37.736707-06:00; a post-session reference snapshot, not an asserted official close. Operating assumptions are unchanged except separately documented updates.</t>
  </si>
  <si>
    <t>2026-09-28</t>
  </si>
  <si>
    <t>September 28 observed Trading Economics reference marks replace September 11 defaults: gold $4,125.13/oz, copper $6.5596/lb, silver $60.763/oz. These are captured OTC/CFD snapshots, not official settlements. Current stock reference $14.80 also mechanically increases financing dilution under the existing 85%-of-price formula. Preserve FS sensitivity curve, 45% NAV factor, 55% non-common funding, capital/share bridge and fixed bear/bull metals. Market-cap diagnostic refreshed to $244.217212M (provider September 28 00:00Z).</t>
  </si>
  <si>
    <t>Additional supporting record for the September 28 USAU review.</t>
  </si>
  <si>
    <t>September 11 Modeledge reference share price $15.2. Market cap $250.817678M is separately provider-dated September 11 00:00Z; existing financing-dilution linkage to share price is preserved.</t>
  </si>
  <si>
    <t>2026-09-11</t>
  </si>
  <si>
    <t>September 11 quarterly filing refresh: July 31 cash $27.114710M, plus $0.011200M August warrant exercise less $1.645M remaining September property purchase gives $25.480910M pro forma cash before unreported interim operating movements. September 10 common shares 16.528663M; July equivalents 4.388898M less 0.337524M expired and 0.002500M exercised warrants leaves 4.048874M. Remaining gross exercise proceeds approximate $39.40246738M using rounded weighted-average strikes. Preserve the FS curve, $422.4M capex, 45% NAV risk factor, 55% non-common funding, 85% financing-price ratio, $15M burn and $25M optional assets.</t>
  </si>
  <si>
    <t>https://www.sec.gov/Archives/edgar/data/27093/000149315226042381/0001493152-26-042381-index.html</t>
  </si>
  <si>
    <t>September 11 observed commodity references: gold $4,348.54/troy oz, copper $6.4782/lb and silver $64.480/troy oz. Trading Economics OTC/CFD reference marks, not official settlements. These replace the June default marks; bear/bull metal anchors are unchanged.</t>
  </si>
  <si>
    <t>CK Gold May 2026 feasibility study: after-tax NPV5 of $632M at $3,250/oz gold, $4.50/lb copper, $40/oz silver, 27% IRR, and 11-year operating mine life.</t>
  </si>
  <si>
    <t>https://www.sec.gov/Archives/edgar/data/27093/000149315226023905/</t>
  </si>
  <si>
    <t>2026-06-21</t>
  </si>
  <si>
    <t>CK Gold feasibility-study metal-price sensitivity table: after-tax NPV5 from -$147M at $1,500/oz gold to $1.774B at $6,000/oz gold.</t>
  </si>
  <si>
    <t>U.S. Gold January 31, 2026 10-Q: $36.1M cash, $35.4M working capital, no debt, 16.5M shares outstanding, and 4.45M common stock equivalents.</t>
  </si>
  <si>
    <t>https://www.sec.gov/Archives/edgar/data/27093/000149315226010290/</t>
  </si>
  <si>
    <t>Commodity marks used for default assumptions: gold about $4,160/oz, copper about $6.33/lb, silver about $65/oz.</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</si>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</sst>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0"/>
    <numFmt numFmtId="165" formatCode="&quot;$&quot;#,##0.0"/>
    <numFmt numFmtId="166" formatCode="0.0%"/>
    <numFmt numFmtId="167" formatCode="&quot;$&quot;#,##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0" fontId="4" fillId="0" borderId="0" xfId="0" applyFon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12" min="2" width="13"/>
  </cols>
  <sheetData>
    <row r="1">
      <c r="A1" s="1" t="s">
        <v>0</v>
      </c>
    </row>
    <row r="2">
      <c r="A2" t="s">
        <v>1</v>
      </c>
    </row>
    <row r="3">
      <c r="A3" s="2" t="s">
        <v>2</v>
      </c>
    </row>
    <row r="5">
      <c r="B5" s="3" t="s">
        <v>3</v>
      </c>
      <c r="C5" s="3" t="s">
        <v>4</v>
      </c>
      <c r="D5" s="3" t="s">
        <v>5</v>
      </c>
      <c r="E5" s="3" t="s">
        <v>6</v>
      </c>
      <c r="F5" s="3" t="s">
        <v>7</v>
      </c>
      <c r="G5" s="3" t="s">
        <v>8</v>
      </c>
      <c r="H5" s="3" t="s">
        <v>9</v>
      </c>
      <c r="I5" s="3" t="s">
        <v>10</v>
      </c>
      <c r="J5" s="3" t="s">
        <v>11</v>
      </c>
      <c r="K5" s="3" t="s">
        <v>12</v>
      </c>
      <c r="L5" s="3" t="s">
        <v>13</v>
      </c>
    </row>
    <row r="6">
      <c r="A6" s="4" t="s">
        <v>14</v>
      </c>
    </row>
    <row r="7">
      <c r="A7" s="5" t="s">
        <v>15</v>
      </c>
      <c r="B7" s="6">
        <v>6.5475</v>
      </c>
    </row>
    <row r="8">
      <c r="A8" s="5" t="s">
        <v>16</v>
      </c>
      <c r="B8" s="7">
        <v>15</v>
      </c>
    </row>
    <row r="9">
      <c r="A9" s="5" t="s">
        <v>17</v>
      </c>
      <c r="B9" s="6">
        <v>11.2</v>
      </c>
    </row>
    <row r="10">
      <c r="A10" s="5" t="s">
        <v>18</v>
      </c>
      <c r="B10" s="8">
        <v>0.85</v>
      </c>
    </row>
    <row r="11">
      <c r="A11" s="5" t="s">
        <v>19</v>
      </c>
      <c r="B11" s="9">
        <v>4137.81</v>
      </c>
    </row>
    <row r="12">
      <c r="A12" s="5" t="s">
        <v>20</v>
      </c>
      <c r="B12" s="7">
        <v>25</v>
      </c>
    </row>
    <row r="13">
      <c r="A13" s="5" t="s">
        <v>21</v>
      </c>
      <c r="B13" s="8">
        <v>0.55</v>
      </c>
    </row>
    <row r="14">
      <c r="A14" s="5" t="s">
        <v>22</v>
      </c>
      <c r="B14" s="8">
        <v>0.45</v>
      </c>
    </row>
    <row r="15">
      <c r="A15" s="5" t="s">
        <v>23</v>
      </c>
      <c r="B15" s="7">
        <v>10</v>
      </c>
    </row>
    <row r="16">
      <c r="A16" s="5" t="s">
        <v>24</v>
      </c>
      <c r="B16" s="9">
        <v>57.048</v>
      </c>
    </row>
    <row r="17">
      <c r="A17" s="4" t="s">
        <v>25</v>
      </c>
    </row>
    <row r="18">
      <c r="A18" s="5" t="s">
        <v>26</v>
      </c>
      <c r="B18">
        <v>4.5</v>
      </c>
    </row>
    <row r="19">
      <c r="A19" s="5" t="s">
        <v>27</v>
      </c>
      <c r="B19">
        <v>40</v>
      </c>
    </row>
    <row r="20">
      <c r="A20" s="5" t="s">
        <v>28</v>
      </c>
      <c r="B20">
        <v>16.528663</v>
      </c>
    </row>
    <row r="21">
      <c r="A21" s="5" t="s">
        <v>29</v>
      </c>
      <c r="B21">
        <v>25.48091</v>
      </c>
    </row>
    <row r="22">
      <c r="A22" s="5" t="s">
        <v>30</v>
      </c>
      <c r="B22">
        <v>4.198242</v>
      </c>
    </row>
    <row r="23">
      <c r="A23" s="5" t="s">
        <v>31</v>
      </c>
      <c r="B23">
        <v>422.4</v>
      </c>
    </row>
    <row r="24">
      <c r="A24" s="5" t="s">
        <v>32</v>
      </c>
      <c r="B24">
        <v>110</v>
      </c>
    </row>
    <row r="25">
      <c r="A25" s="5" t="s">
        <v>33</v>
      </c>
      <c r="B25">
        <v>185.121003</v>
      </c>
    </row>
    <row r="26">
      <c r="A26" s="5" t="s">
        <v>34</v>
      </c>
      <c r="B26">
        <v>-147</v>
      </c>
      <c r="C26">
        <v>98</v>
      </c>
      <c r="D26">
        <v>320</v>
      </c>
      <c r="E26">
        <v>528</v>
      </c>
      <c r="F26">
        <v>632</v>
      </c>
      <c r="G26">
        <v>737</v>
      </c>
      <c r="H26">
        <v>946</v>
      </c>
      <c r="I26">
        <v>1155</v>
      </c>
      <c r="J26">
        <v>1363</v>
      </c>
      <c r="K26">
        <v>1569</v>
      </c>
      <c r="L26">
        <v>1774</v>
      </c>
    </row>
    <row r="27">
      <c r="A27" s="5" t="s">
        <v>35</v>
      </c>
      <c r="B27">
        <v>1500</v>
      </c>
      <c r="C27">
        <v>2000</v>
      </c>
      <c r="D27">
        <v>2500</v>
      </c>
      <c r="E27">
        <v>3000</v>
      </c>
      <c r="F27">
        <v>3250</v>
      </c>
      <c r="G27">
        <v>3500</v>
      </c>
      <c r="H27">
        <v>4000</v>
      </c>
      <c r="I27">
        <v>4500</v>
      </c>
      <c r="J27">
        <v>5000</v>
      </c>
      <c r="K27">
        <v>5500</v>
      </c>
      <c r="L27">
        <v>6000</v>
      </c>
    </row>
    <row r="28">
      <c r="A28" s="5" t="s">
        <v>36</v>
      </c>
      <c r="B28">
        <v>40.80574418</v>
      </c>
    </row>
    <row r="29">
      <c r="A29" s="5" t="s">
        <v>37</v>
      </c>
      <c r="B29">
        <v>1.3</v>
      </c>
    </row>
    <row r="30">
      <c r="A30" s="4" t="s">
        <v>38</v>
      </c>
    </row>
    <row r="31">
      <c r="A31" s="5" t="s">
        <v>39</v>
      </c>
      <c r="B31" t="str">
        <f>(Model!$B$21+Model!$B$28)</f>
      </c>
    </row>
    <row r="32">
      <c r="A32" s="5" t="s">
        <v>40</v>
      </c>
      <c r="B32" t="str">
        <f>((Model!$B$7-Model!$B$18)*Model!$B$24)</f>
      </c>
    </row>
    <row r="33">
      <c r="A33" s="5" t="s">
        <v>41</v>
      </c>
      <c r="B33" t="str">
        <f>(Model!$B$25-Model!$B$21)</f>
      </c>
    </row>
    <row r="34">
      <c r="A34" s="5" t="s">
        <v>42</v>
      </c>
      <c r="B34" t="str">
        <f>(Model!$B$20+Model!$B$22)</f>
      </c>
    </row>
    <row r="35">
      <c r="A35" s="5" t="s">
        <v>43</v>
      </c>
      <c r="B35" t="str">
        <f>(Model!$B$9*Model!$B$10)</f>
      </c>
    </row>
    <row r="36">
      <c r="A36" s="5" t="s">
        <v>44</v>
      </c>
      <c r="B36" t="str">
        <f>IF(Model!$B$11&lt;=Model!$B$27,Model!$B$26,IF(Model!$B$11&gt;=Model!$L$27,Model!$L$26,Calc!$B$3))</f>
      </c>
    </row>
    <row r="37">
      <c r="A37" s="5" t="s">
        <v>47</v>
      </c>
      <c r="B37" t="str">
        <f>((Model!$B$16-Model!$B$19)*Model!$B$29)</f>
      </c>
    </row>
    <row r="38">
      <c r="A38" s="5" t="s">
        <v>48</v>
      </c>
      <c r="B38" t="str">
        <f>MAX(0,(Model!$B$31-Model!$B$15))</f>
      </c>
    </row>
    <row r="39">
      <c r="A39" s="5" t="s">
        <v>49</v>
      </c>
      <c r="B39" t="str">
        <f>((Model!$B$36+Model!$B$32)+Model!$B$37)</f>
      </c>
    </row>
    <row r="40">
      <c r="A40" s="5" t="s">
        <v>50</v>
      </c>
      <c r="B40" t="str">
        <f>MAX(0,((Model!$B$23*(1-Model!$B$13))-Model!$B$38))</f>
      </c>
    </row>
    <row r="41">
      <c r="A41" s="5" t="s">
        <v>51</v>
      </c>
      <c r="B41" t="str">
        <f>(Model!$B$33/MAX(50,Model!$B$39))</f>
      </c>
    </row>
    <row r="42">
      <c r="A42" s="5" t="s">
        <v>52</v>
      </c>
      <c r="B42" t="str">
        <f>(Model!$B$39*Model!$B$14)</f>
      </c>
    </row>
    <row r="43">
      <c r="A43" s="5" t="s">
        <v>53</v>
      </c>
      <c r="B43" t="str">
        <f>(Model!$B$40/Model!$B$35)</f>
      </c>
    </row>
    <row r="44">
      <c r="A44" s="5" t="s">
        <v>54</v>
      </c>
      <c r="B44" t="str">
        <f>(((Model!$B$42+Model!$B$31)-Model!$B$8)+Model!$B$12)</f>
      </c>
    </row>
    <row r="45">
      <c r="A45" s="5" t="s">
        <v>55</v>
      </c>
      <c r="B45" t="str">
        <f>(Model!$B$34+Model!$B$43)</f>
      </c>
    </row>
    <row r="46">
      <c r="A46" s="5" t="s">
        <v>56</v>
      </c>
      <c r="B46" t="str">
        <f>(Model!$B$44/Model!$B$45)</f>
      </c>
    </row>
    <row r="47">
      <c r="A47" s="5" t="s">
        <v>57</v>
      </c>
      <c r="B47" t="str">
        <f>MAX(0,Model!$B$46)</f>
      </c>
    </row>
    <row r="48">
      <c r="A48" s="5" t="s">
        <v>58</v>
      </c>
      <c r="B48" t="str">
        <f>((Model!$B$47/Model!$B$9)-1)</f>
      </c>
    </row>
    <row r="49">
      <c r="A49" s="4" t="s">
        <v>59</v>
      </c>
    </row>
    <row r="50">
      <c r="A50" s="10" t="s">
        <v>60</v>
      </c>
      <c r="B50" s="6" t="str">
        <f>Model!$B$47</f>
      </c>
    </row>
    <row r="51">
      <c r="A51" s="5" t="s">
        <v>61</v>
      </c>
      <c r="B51" s="8" t="str">
        <f>Model!$B$48</f>
      </c>
    </row>
    <row r="52">
      <c r="A52" s="5" t="s">
        <v>62</v>
      </c>
      <c r="B52" s="7" t="str">
        <f>Model!$B$39</f>
      </c>
    </row>
    <row r="53">
      <c r="A53" s="5" t="s">
        <v>63</v>
      </c>
      <c r="B53" s="7" t="str">
        <f>Model!$B$42</f>
      </c>
    </row>
    <row r="54">
      <c r="A54" s="5" t="s">
        <v>64</v>
      </c>
      <c r="B54" s="7" t="str">
        <f>Model!$B$40</f>
      </c>
    </row>
    <row r="55">
      <c r="A55" s="5" t="s">
        <v>65</v>
      </c>
      <c r="B55" s="11" t="str">
        <f>Model!$B$45</f>
      </c>
    </row>
    <row r="56">
      <c r="A56" s="5" t="s">
        <v>66</v>
      </c>
      <c r="B56" s="8" t="str">
        <f>Model!$B$41</f>
      </c>
    </row>
    <row r="58">
      <c r="A58" s="4" t="s">
        <v>67</v>
      </c>
    </row>
    <row r="59">
      <c r="A59" s="3" t="s">
        <v>19</v>
      </c>
      <c r="B59" s="8">
        <v>0.3</v>
      </c>
      <c r="C59" s="8">
        <v>0.4</v>
      </c>
      <c r="D59" s="8">
        <v>0.5</v>
      </c>
      <c r="E59" s="8">
        <v>0.6</v>
      </c>
      <c r="F59" s="8">
        <v>0.7</v>
      </c>
    </row>
    <row r="60">
      <c r="A60" s="9">
        <v>3000</v>
      </c>
      <c r="B60" s="6">
        <v>8.881412347156614</v>
      </c>
      <c r="C60" s="6">
        <v>11.110765261554178</v>
      </c>
      <c r="D60" s="6">
        <v>13.340118175951739</v>
      </c>
      <c r="E60" s="6">
        <v>15.5694710903493</v>
      </c>
      <c r="F60" s="6">
        <v>17.79882400474686</v>
      </c>
    </row>
    <row r="61">
      <c r="A61" s="9">
        <v>3500</v>
      </c>
      <c r="B61" s="6">
        <v>10.684129643474906</v>
      </c>
      <c r="C61" s="6">
        <v>13.5143883233119</v>
      </c>
      <c r="D61" s="6">
        <v>16.344647003148893</v>
      </c>
      <c r="E61" s="6">
        <v>19.174905682985884</v>
      </c>
      <c r="F61" s="6">
        <v>22.005164362822878</v>
      </c>
    </row>
    <row r="62">
      <c r="A62" s="9">
        <v>4000</v>
      </c>
      <c r="B62" s="6">
        <v>12.486846939793196</v>
      </c>
      <c r="C62" s="6">
        <v>15.918011385069622</v>
      </c>
      <c r="D62" s="6">
        <v>19.34917583034605</v>
      </c>
      <c r="E62" s="6">
        <v>22.780340275622468</v>
      </c>
      <c r="F62" s="6">
        <v>26.211504720898894</v>
      </c>
    </row>
    <row r="63">
      <c r="A63" s="9">
        <v>4500</v>
      </c>
      <c r="B63" s="6">
        <v>14.289564236111492</v>
      </c>
      <c r="C63" s="6">
        <v>18.321634446827346</v>
      </c>
      <c r="D63" s="6">
        <v>22.353704657543204</v>
      </c>
      <c r="E63" s="6">
        <v>26.38577486825906</v>
      </c>
      <c r="F63" s="6">
        <v>30.417845078974906</v>
      </c>
    </row>
    <row r="64">
      <c r="A64" s="9">
        <v>5000</v>
      </c>
      <c r="B64" s="6">
        <v>16.083656090820607</v>
      </c>
      <c r="C64" s="6">
        <v>20.713756919772834</v>
      </c>
      <c r="D64" s="6">
        <v>25.34385774872506</v>
      </c>
      <c r="E64" s="6">
        <v>29.973958577677287</v>
      </c>
      <c r="F64" s="6">
        <v>34.60405940662951</v>
      </c>
    </row>
    <row r="65">
      <c r="A65" s="9">
        <v>5500</v>
      </c>
      <c r="B65" s="6">
        <v>17.860497062311367</v>
      </c>
      <c r="C65" s="6">
        <v>23.082878215093846</v>
      </c>
      <c r="D65" s="6">
        <v>28.305259367876324</v>
      </c>
      <c r="E65" s="6">
        <v>33.5276405206588</v>
      </c>
      <c r="F65" s="6">
        <v>38.750021673441275</v>
      </c>
    </row>
    <row r="67">
      <c r="A67" s="4" t="s">
        <v>68</v>
      </c>
    </row>
    <row r="68">
      <c r="A68" s="3" t="s">
        <v>19</v>
      </c>
      <c r="B68" s="8">
        <v>0.35</v>
      </c>
      <c r="C68" s="8">
        <v>0.45</v>
      </c>
      <c r="D68" s="8">
        <v>0.55</v>
      </c>
      <c r="E68" s="8">
        <v>0.65</v>
      </c>
      <c r="F68" s="8">
        <v>0.75</v>
      </c>
    </row>
    <row r="69">
      <c r="A69" s="9">
        <v>3000</v>
      </c>
      <c r="B69" s="6">
        <v>9.74030813852605</v>
      </c>
      <c r="C69" s="6">
        <v>10.842294958647612</v>
      </c>
      <c r="D69" s="6">
        <v>12.225441718752958</v>
      </c>
      <c r="E69" s="6">
        <v>14.013084723094071</v>
      </c>
      <c r="F69" s="6">
        <v>16.41305367822351</v>
      </c>
    </row>
    <row r="70">
      <c r="A70" s="9">
        <v>3500</v>
      </c>
      <c r="B70" s="6">
        <v>11.894711515934056</v>
      </c>
      <c r="C70" s="6">
        <v>13.240440535313008</v>
      </c>
      <c r="D70" s="6">
        <v>14.929517663230397</v>
      </c>
      <c r="E70" s="6">
        <v>17.11255925983156</v>
      </c>
      <c r="F70" s="6">
        <v>20.043363702819356</v>
      </c>
    </row>
    <row r="71">
      <c r="A71" s="9">
        <v>4000</v>
      </c>
      <c r="B71" s="6">
        <v>14.049114893342063</v>
      </c>
      <c r="C71" s="6">
        <v>15.638586111978405</v>
      </c>
      <c r="D71" s="6">
        <v>17.633593607707837</v>
      </c>
      <c r="E71" s="6">
        <v>20.212033796569045</v>
      </c>
      <c r="F71" s="6">
        <v>23.673673727415206</v>
      </c>
    </row>
    <row r="72">
      <c r="A72" s="9">
        <v>4500</v>
      </c>
      <c r="B72" s="6">
        <v>16.20351827075007</v>
      </c>
      <c r="C72" s="6">
        <v>18.0367316886438</v>
      </c>
      <c r="D72" s="6">
        <v>20.337669552185275</v>
      </c>
      <c r="E72" s="6">
        <v>23.311508333306534</v>
      </c>
      <c r="F72" s="6">
        <v>27.303983752011053</v>
      </c>
    </row>
    <row r="73">
      <c r="A73" s="9">
        <v>5000</v>
      </c>
      <c r="B73" s="6">
        <v>18.347613498026938</v>
      </c>
      <c r="C73" s="6">
        <v>20.423402884559607</v>
      </c>
      <c r="D73" s="6">
        <v>23.02880733424895</v>
      </c>
      <c r="E73" s="6">
        <v>26.396152848337145</v>
      </c>
      <c r="F73" s="6">
        <v>30.916923872183</v>
      </c>
    </row>
    <row r="74">
      <c r="A74" s="9">
        <v>5500</v>
      </c>
      <c r="B74" s="6">
        <v>20.47109242504153</v>
      </c>
      <c r="C74" s="6">
        <v>22.78712531897622</v>
      </c>
      <c r="D74" s="6">
        <v>25.694068791485087</v>
      </c>
      <c r="E74" s="6">
        <v>29.451137319954</v>
      </c>
      <c r="F74" s="6">
        <v>34.49512418350714</v>
      </c>
    </row>
    <row r="76">
      <c r="A76" s="4" t="s">
        <v>69</v>
      </c>
    </row>
    <row r="77">
      <c r="A77" s="5" t="s">
        <v>70</v>
      </c>
      <c r="B77" t="s">
        <v>71</v>
      </c>
    </row>
    <row r="78">
      <c r="A78" s="5" t="s">
        <v>72</v>
      </c>
      <c r="B78" t="s">
        <v>73</v>
      </c>
    </row>
    <row r="79">
      <c r="A79" s="5" t="s">
        <v>74</v>
      </c>
      <c r="B79" t="s">
        <v>75</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117</v>
      </c>
    </row>
    <row r="2">
      <c r="A2" t="s">
        <v>45</v>
      </c>
      <c r="B2" t="str">
        <f>MIN(MATCH(MIN(MAX(Model!$B$11,Model!$B$27),Model!$L$27),Model!$B$27:$L$27,1),10)</f>
      </c>
    </row>
    <row r="3">
      <c r="A3" t="s">
        <v>46</v>
      </c>
      <c r="B3" t="str">
        <f>INDEX(Model!$B$26:$L$26,1,Calc!$B$2)+(Model!$B$11-INDEX(Model!$B$27:$L$27,1,Calc!$B$2))/(INDEX(Model!$B$27:$L$27,1,Calc!$B$2+1)-INDEX(Model!$B$27:$L$27,1,Calc!$B$2))*(INDEX(Model!$B$26:$L$26,1,Calc!$B$2+1)-INDEX(Model!$B$26:$L$26,1,Calc!$B$2))</f>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76</v>
      </c>
      <c r="B1" s="4" t="s">
        <v>77</v>
      </c>
      <c r="C1" s="4" t="s">
        <v>78</v>
      </c>
    </row>
    <row r="2">
      <c r="A2" t="s">
        <v>79</v>
      </c>
      <c r="B2" t="s">
        <v>71</v>
      </c>
      <c r="C2" t="s">
        <v>80</v>
      </c>
    </row>
    <row r="3">
      <c r="A3" t="s">
        <v>81</v>
      </c>
      <c r="B3" t="s">
        <v>82</v>
      </c>
      <c r="C3" t="s">
        <v>80</v>
      </c>
    </row>
    <row r="4">
      <c r="A4" t="s">
        <v>83</v>
      </c>
      <c r="B4" t="s">
        <v>84</v>
      </c>
      <c r="C4" t="s">
        <v>85</v>
      </c>
    </row>
    <row r="5">
      <c r="A5" t="s">
        <v>86</v>
      </c>
      <c r="B5" t="s">
        <v>87</v>
      </c>
      <c r="C5" t="s">
        <v>85</v>
      </c>
    </row>
    <row r="6">
      <c r="A6" t="s">
        <v>88</v>
      </c>
      <c r="B6" t="s">
        <v>71</v>
      </c>
      <c r="C6" t="s">
        <v>89</v>
      </c>
    </row>
    <row r="7">
      <c r="A7" t="s">
        <v>90</v>
      </c>
      <c r="B7" t="s">
        <v>91</v>
      </c>
      <c r="C7" t="s">
        <v>89</v>
      </c>
    </row>
    <row r="8">
      <c r="A8" t="s">
        <v>92</v>
      </c>
      <c r="B8" t="s">
        <v>93</v>
      </c>
      <c r="C8" t="s">
        <v>89</v>
      </c>
    </row>
    <row r="9">
      <c r="A9" t="s">
        <v>92</v>
      </c>
      <c r="B9" t="s">
        <v>94</v>
      </c>
      <c r="C9" t="s">
        <v>89</v>
      </c>
    </row>
    <row r="10">
      <c r="A10" t="s">
        <v>92</v>
      </c>
      <c r="B10" t="s">
        <v>95</v>
      </c>
      <c r="C10" t="s">
        <v>89</v>
      </c>
    </row>
    <row r="11">
      <c r="A11" t="s">
        <v>92</v>
      </c>
      <c r="B11" t="s">
        <v>96</v>
      </c>
      <c r="C11" t="s">
        <v>89</v>
      </c>
    </row>
    <row r="12">
      <c r="A12" t="s">
        <v>92</v>
      </c>
      <c r="B12" t="s">
        <v>97</v>
      </c>
      <c r="C12" t="s">
        <v>89</v>
      </c>
    </row>
    <row r="13">
      <c r="A13" t="s">
        <v>92</v>
      </c>
      <c r="B13" t="s">
        <v>98</v>
      </c>
      <c r="C13" t="s">
        <v>89</v>
      </c>
    </row>
    <row r="14">
      <c r="A14" t="s">
        <v>92</v>
      </c>
      <c r="B14" t="s">
        <v>87</v>
      </c>
      <c r="C14" t="s">
        <v>89</v>
      </c>
    </row>
    <row r="15">
      <c r="A15" t="s">
        <v>92</v>
      </c>
      <c r="B15" t="s">
        <v>99</v>
      </c>
      <c r="C15" t="s">
        <v>89</v>
      </c>
    </row>
    <row r="16">
      <c r="A16" t="s">
        <v>92</v>
      </c>
      <c r="B16" t="s">
        <v>100</v>
      </c>
      <c r="C16" t="s">
        <v>89</v>
      </c>
    </row>
    <row r="17">
      <c r="A17" t="s">
        <v>101</v>
      </c>
      <c r="B17" t="s">
        <v>71</v>
      </c>
      <c r="C17" t="s">
        <v>102</v>
      </c>
    </row>
    <row r="18">
      <c r="A18" t="s">
        <v>103</v>
      </c>
      <c r="B18" t="s">
        <v>87</v>
      </c>
      <c r="C18" t="s">
        <v>102</v>
      </c>
    </row>
    <row r="19">
      <c r="A19" t="s">
        <v>104</v>
      </c>
      <c r="B19" t="s">
        <v>99</v>
      </c>
      <c r="C19" t="s">
        <v>102</v>
      </c>
    </row>
    <row r="20">
      <c r="A20" t="s">
        <v>104</v>
      </c>
      <c r="B20" t="s">
        <v>100</v>
      </c>
      <c r="C20" t="s">
        <v>102</v>
      </c>
    </row>
    <row r="21">
      <c r="A21" t="s">
        <v>105</v>
      </c>
      <c r="B21" t="s">
        <v>71</v>
      </c>
      <c r="C21" t="s">
        <v>106</v>
      </c>
    </row>
    <row r="22">
      <c r="A22" t="s">
        <v>107</v>
      </c>
      <c r="B22" t="s">
        <v>108</v>
      </c>
      <c r="C22" t="s">
        <v>106</v>
      </c>
    </row>
    <row r="23">
      <c r="A23" t="s">
        <v>109</v>
      </c>
      <c r="B23" t="s">
        <v>87</v>
      </c>
      <c r="C23" t="s">
        <v>106</v>
      </c>
    </row>
    <row r="24">
      <c r="A24" t="s">
        <v>110</v>
      </c>
      <c r="B24" t="s">
        <v>111</v>
      </c>
      <c r="C24" t="s">
        <v>112</v>
      </c>
    </row>
    <row r="25">
      <c r="A25" t="s">
        <v>113</v>
      </c>
      <c r="B25" t="s">
        <v>111</v>
      </c>
      <c r="C25" t="s">
        <v>112</v>
      </c>
    </row>
    <row r="26">
      <c r="A26" t="s">
        <v>114</v>
      </c>
      <c r="B26" t="s">
        <v>115</v>
      </c>
      <c r="C26" t="s">
        <v>112</v>
      </c>
    </row>
    <row r="27">
      <c r="A27" t="s">
        <v>116</v>
      </c>
      <c r="B27" t="s">
        <v>87</v>
      </c>
      <c r="C27" t="s">
        <v>112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