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apt_bmm_ownership">Model!$B$26</definedName>
    <definedName name="basic_shares_june">Model!$B$29</definedName>
    <definedName name="water_issue_price_assumption">Model!$B$47</definedName>
    <definedName name="springer_revenue">Model!$B$58</definedName>
    <definedName name="current_price">Model!$B$11</definedName>
    <definedName name="springer_risk_factor">Model!$B$23</definedName>
    <definedName name="options_and_dsus">Model!$B$38</definedName>
    <definedName name="net_debt_claim">Model!$B$55</definedName>
    <definedName name="apex_option_value">Model!$B$5</definedName>
    <definedName name="upside_calc">Model!$B$71</definedName>
    <definedName name="nussir_ownership">Model!$B$37</definedName>
    <definedName name="share_count_before_warrants">Model!$B$61</definedName>
    <definedName name="springer_value">Model!$B$64</definedName>
    <definedName name="warrants_exercised">Model!$B$67</definedName>
    <definedName name="non_nav_cash_allowance">Model!$B$13</definedName>
    <definedName name="apt_elmet_ownership">Model!$B$27</definedName>
    <definedName name="elmet_new_shares">Model!$B$33</definedName>
    <definedName name="springer_sustaining_capex">Model!$B$44</definedName>
    <definedName name="water_stock_consideration">Model!$B$48</definedName>
    <definedName name="nussir_value">Model!$B$56</definedName>
    <definedName name="elmet_deal_closes">Model!$B$12</definedName>
    <definedName name="springer_life">Model!$B$21</definedName>
    <definedName name="ropa_new_shares">Model!$B$40</definedName>
    <definedName name="elmet_shares">Model!$B$54</definedName>
    <definedName name="equity_nav">Model!$B$65</definedName>
    <definedName name="springer_extra_discount_years">Model!$B$42</definedName>
    <definedName name="blue_moon_value">Model!$B$52</definedName>
    <definedName name="warrant_strike_usd">Model!$B$59</definedName>
    <definedName name="cash_bridge">Model!$B$60</definedName>
    <definedName name="springer_project_npv">Model!$B$63</definedName>
    <definedName name="blue_moon_unrisked_nav">Model!$B$7</definedName>
    <definedName name="cash_june_cad">Model!$B$31</definedName>
    <definedName name="elmet_cash">Model!$B$53</definedName>
    <definedName name="fair_value_calc">Model!$B$70</definedName>
    <definedName name="blue_moon_nav_multiple">Model!$B$6</definedName>
    <definedName name="nussir_nav_multiple">Model!$B$15</definedName>
    <definedName name="springer_cash_cost">Model!$B$19</definedName>
    <definedName name="elmet_warrant_strike_cad">Model!$B$35</definedName>
    <definedName name="apt_jv_value">Model!$B$50</definedName>
    <definedName name="basic_market_cap">Model!$B$51</definedName>
    <definedName name="value_before_warrants">Model!$B$66</definedName>
    <definedName name="concentrate_payability">Model!$B$9</definedName>
    <definedName name="springer_discount">Model!$B$20</definedName>
    <definedName name="apt_investment_usd">Model!$B$28</definedName>
    <definedName name="lease_cad">Model!$B$36</definedName>
    <definedName name="ropa_cash_total">Model!$B$39</definedName>
    <definedName name="elmet_warrant_shares">Model!$B$34</definedName>
    <definedName name="springer_fcf">Model!$B$62</definedName>
    <definedName name="diluted_equity_value">Model!$B$68</definedName>
    <definedName name="springer_capex">Model!$B$18</definedName>
    <definedName name="elmet_equity_usd">Model!$B$32</definedName>
    <definedName name="rsu_liability_cad">Model!$B$41</definedName>
    <definedName name="water_cash">Model!$B$46</definedName>
    <definedName name="corporate_financing_reserve">Model!$B$10</definedName>
    <definedName name="other_asset_value">Model!$B$17</definedName>
    <definedName name="diluted_shares">Model!$B$69</definedName>
    <definedName name="cad_per_usd">Model!$B$8</definedName>
    <definedName name="nussir_financing_drag">Model!$B$14</definedName>
    <definedName name="nussir_unrisked_nav">Model!$B$16</definedName>
    <definedName name="bridge_principal_usd">Model!$B$30</definedName>
    <definedName name="springer_royalty">Model!$B$43</definedName>
    <definedName name="springer_tax">Model!$B$45</definedName>
    <definedName name="springer_annuity">Model!$B$57</definedName>
    <definedName name="springer_mtu">Model!$B$22</definedName>
    <definedName name="tungsten_price">Model!$B$24</definedName>
  </definedNames>
  <calcPr calcId="122211" fullCalcOnLoad="true"/>
</workbook>
</file>

<file path=xl/sharedStrings.xml><?xml version="1.0" encoding="utf-8"?>
<sst xmlns="http://schemas.openxmlformats.org/spreadsheetml/2006/main" count="135" uniqueCount="135">
  <si>
    <t>Blue Moon Metals risk-adjusted project valuation</t>
  </si>
  <si>
    <t>As of 2026-10-06  ·  Currency: USD  ·  https://modeledge.ai/model/fm_e027cda09a169ea593712a7664abbe09</t>
  </si>
  <si>
    <t>Inputs</t>
  </si>
  <si>
    <t>Apex and Gage net option value</t>
  </si>
  <si>
    <t>Blue Moon California fraction of NAV recognized</t>
  </si>
  <si>
    <t>Blue Moon California project NPV</t>
  </si>
  <si>
    <t>Canadian dollars per US dollar modeling assumption</t>
  </si>
  <si>
    <t>Concentrate realization versus APT benchmark</t>
  </si>
  <si>
    <t>Corporate overhead PV and financing contingency</t>
  </si>
  <si>
    <t>BMM reference share price</t>
  </si>
  <si>
    <t>Include announced Elmet equity and APT joint venture</t>
  </si>
  <si>
    <t>Post-June net cash consumption outside modeled project NAV</t>
  </si>
  <si>
    <t>Nussir net stream and financing value deduction</t>
  </si>
  <si>
    <t>Nussir fraction of NAV recognized</t>
  </si>
  <si>
    <t>Nussir project NPV before financing</t>
  </si>
  <si>
    <t>NSG, listed investments and Ropa net option value</t>
  </si>
  <si>
    <t>Springer remaining mine and mill restart capital</t>
  </si>
  <si>
    <t>Springer cash cost per recovered unit</t>
  </si>
  <si>
    <t>Springer discount rate</t>
  </si>
  <si>
    <t>Assumed Springer production life</t>
  </si>
  <si>
    <t>Annual recovered tungsten concentrate units</t>
  </si>
  <si>
    <t>Springer fraction of positive project NPV recognized</t>
  </si>
  <si>
    <t>Long-term tungsten APT benchmark</t>
  </si>
  <si>
    <t>Constants</t>
  </si>
  <si>
    <t>apt_bmm_ownership</t>
  </si>
  <si>
    <t>apt_elmet_ownership</t>
  </si>
  <si>
    <t>apt_investment_usd</t>
  </si>
  <si>
    <t>basic_shares_june</t>
  </si>
  <si>
    <t>bridge_principal_usd</t>
  </si>
  <si>
    <t>cash_june_cad</t>
  </si>
  <si>
    <t>elmet_equity_usd</t>
  </si>
  <si>
    <t>elmet_new_shares</t>
  </si>
  <si>
    <t>elmet_warrant_shares</t>
  </si>
  <si>
    <t>elmet_warrant_strike_cad</t>
  </si>
  <si>
    <t>lease_cad</t>
  </si>
  <si>
    <t>nussir_ownership</t>
  </si>
  <si>
    <t>options_and_dsus</t>
  </si>
  <si>
    <t>ropa_cash_total</t>
  </si>
  <si>
    <t>ropa_new_shares</t>
  </si>
  <si>
    <t>rsu_liability_cad</t>
  </si>
  <si>
    <t>springer_extra_discount_years</t>
  </si>
  <si>
    <t>springer_royalty</t>
  </si>
  <si>
    <t>springer_sustaining_capex</t>
  </si>
  <si>
    <t>springer_tax</t>
  </si>
  <si>
    <t>water_cash</t>
  </si>
  <si>
    <t>water_issue_price_assumption</t>
  </si>
  <si>
    <t>water_stock_consideration</t>
  </si>
  <si>
    <t>Calculations</t>
  </si>
  <si>
    <t>apt_jv_value</t>
  </si>
  <si>
    <t>basic_market_cap</t>
  </si>
  <si>
    <t>blue_moon_value</t>
  </si>
  <si>
    <t>elmet_cash</t>
  </si>
  <si>
    <t>elmet_shares</t>
  </si>
  <si>
    <t>net_debt_claim</t>
  </si>
  <si>
    <t>nussir_value</t>
  </si>
  <si>
    <t>springer_annuity</t>
  </si>
  <si>
    <t>springer_revenue</t>
  </si>
  <si>
    <t>warrant_strike_usd</t>
  </si>
  <si>
    <t>cash_bridge</t>
  </si>
  <si>
    <t>share_count_before_warrants</t>
  </si>
  <si>
    <t>springer_fcf</t>
  </si>
  <si>
    <t>springer_project_npv</t>
  </si>
  <si>
    <t>springer_value</t>
  </si>
  <si>
    <t>equity_nav</t>
  </si>
  <si>
    <t>value_before_warrants</t>
  </si>
  <si>
    <t>warrants_exercised</t>
  </si>
  <si>
    <t>diluted_equity_value</t>
  </si>
  <si>
    <t>diluted_shares</t>
  </si>
  <si>
    <t>fair_value_calc</t>
  </si>
  <si>
    <t>upside_calc</t>
  </si>
  <si>
    <t>Outputs</t>
  </si>
  <si>
    <t>Fair value per BMM share</t>
  </si>
  <si>
    <t>Upside to reference price</t>
  </si>
  <si>
    <t>Equity NAV before warrant exercise (USD m)</t>
  </si>
  <si>
    <t>Attributable Nussir value (USD m)</t>
  </si>
  <si>
    <t>Blue Moon California value (USD m)</t>
  </si>
  <si>
    <t>Illustrative Springer annual FCF (USD m)</t>
  </si>
  <si>
    <t>Springer NPV before risk adjustment (USD m)</t>
  </si>
  <si>
    <t>Springer mine and mill value (USD m)</t>
  </si>
  <si>
    <t>APT joint venture stake value (USD m)</t>
  </si>
  <si>
    <t>Apex option value (USD m)</t>
  </si>
  <si>
    <t>Other asset value (USD m)</t>
  </si>
  <si>
    <t>Adjusted cash allowance (USD m)</t>
  </si>
  <si>
    <t>Existing debt and leases (USD m)</t>
  </si>
  <si>
    <t>Corporate and financing reserve (USD m)</t>
  </si>
  <si>
    <t>Valuation share count (millions)</t>
  </si>
  <si>
    <t>Market cap at June basic share count (USD m)</t>
  </si>
  <si>
    <t>Scenarios (reference)</t>
  </si>
  <si>
    <t>base</t>
  </si>
  <si>
    <t/>
  </si>
  <si>
    <t>bear</t>
  </si>
  <si>
    <t>apex_option_value = 10, blue_moon_nav_multiple = 0.2, blue_moon_unrisked_nav = 163, nussir_financing_drag = 20, nussir_nav_multiple = 0.3, nussir_unrisked_nav = 120, other_asset_value = 8, springer_capex = 100, springer_risk_factor = 0.35, tungsten_price = 750</t>
  </si>
  <si>
    <t>bull</t>
  </si>
  <si>
    <t>apex_option_value = 60, blue_moon_nav_multiple = 0.7, blue_moon_unrisked_nav = 340, nussir_financing_drag = 115, nussir_nav_multiple = 0.9, nussir_unrisked_nav = 559, other_asset_value = 25, springer_capex = 65, springer_cash_cost = 350, springer_life = 13, springer_mtu = 124000, springer_risk_factor = 0.8, tungsten_price = 1600</t>
  </si>
  <si>
    <t>Claim</t>
  </si>
  <si>
    <t>URL</t>
  </si>
  <si>
    <t>Accessed</t>
  </si>
  <si>
    <t>October 6 Model Edge reference BMM quote $5.13, refreshed 2026-10-06T15:02:51.254726-06:00. Price changes refresh market-relative outputs; evidence-supported valuation changes are separately described.</t>
  </si>
  <si>
    <t>2026-10-06</t>
  </si>
  <si>
    <t>October 6: 150,000 new consultant options have C$6.99 strike, five-year term and annual one-third vesting over three years. Apply the existing conservative options convention (full shares, no exercise proceeds): increase options_and_dsus from 0.712529M to 0.862529M, without changing project NAV. This is only the newly verified incremental award, not a completed aggregate capitalization reconciliation. Springer historical-core assays do not establish a current resource, reserves or feasibility economics; the headline 7.84% WO3 versus body/table 7.82% inconsistency is retained as uncertainty, and the narrow 0.3m intercept has unverified true width. Keep mine-life, recovery, commodity-price and financing assumptions. Price rose 5.02% to $5.13.</t>
  </si>
  <si>
    <t>https://modeledge.ai/company/BMM/filing/6-K/0001554855-26-002074</t>
  </si>
  <si>
    <t>Additional supporting source for the October 6 review; see the dated evidence note.</t>
  </si>
  <si>
    <t>https://www.sec.gov/Archives/edgar/data/1732379/000155485526002074/ex991_1.htm</t>
  </si>
  <si>
    <t>September 23 Turner agreement is pending approval/November closing, not a completed acquisition. Terms: $4.7M cash including announced $0.5M deposit, 4,778,761 shares in four tranches and up to $7M milestones; 1.5% NSR remains. Historical resource is not a verified current reserve or completed economic study. September 22 Springer drilling is partial and stockpile assays pending. Elmet issued BMM 1,166,970 warrants at $21.423 September 21; do not book $25M notional as cash. New 50,000 options, 993,146 RSUs and 268,586 DSUs require settlement and aggregate capitalization reconciliation. Retain NAV pending a paired asset/cost/dilution bridge; price fell 8.92%, precise cause unverified.</t>
  </si>
  <si>
    <t>https://www.sec.gov/Archives/edgar/data/1732379/000155485526002036/ex991_1.htm</t>
  </si>
  <si>
    <t>2026-09-23</t>
  </si>
  <si>
    <t>September 23 reference BMM price $5.26; quote timestamp 2026-09-23T15:21:17.727223-06:00. Market price alone does not change operating value.</t>
  </si>
  <si>
    <t>September 15: Investigated the 7.75% decline. No new indexed company event after the 14:32:44Z cutoff or verified new company-specific catalyst was found. Re-read the September 14 Springer/Elmet announcement, already incorporated in this morning's conditional project-NAV model. Update only the BMM quote to $5.24. Keep the $5.20 water-acquisition issue-price assumption, fixed 1.40 CAD/USD convention and financing/dilution assumptions; the headline $150M-$175M is not completed unrestricted BMM cash.</t>
  </si>
  <si>
    <t>https://bluemoonmetals.com/blue-moon-the-elmet-group-and-eq-resources-announce-a-us150-175-million-investment-into-the-springer-tungsten-complex-nevada-to-strengthen-the-u-s-tungsten-supply-chain/</t>
  </si>
  <si>
    <t>2026-09-15</t>
  </si>
  <si>
    <t>September 15 reference BMM share price $5.24; provider quote update 2026-09-15T15:01:38.027726-06:00. Stock-price movement alone does not change the operating forecast.</t>
  </si>
  <si>
    <t>June 30, 2026 financial statements: CAD cash, ownership, 104.863001m basic shares, debt, leases, share awards, royalties and subsequent Ropa consideration.</t>
  </si>
  <si>
    <t>https://www.sec.gov/Archives/edgar/data/1732379/000155485526001834/ex991_1.htm</t>
  </si>
  <si>
    <t>Nussir FS NPV8 USD235m consensus / USD559m March spot; USD184m initial and USD495m sustaining capital. Blue Moon PEA economics and funding status.</t>
  </si>
  <si>
    <t>https://www.sec.gov/Archives/edgar/data/1732379/000155485526001834/ex992_2.htm</t>
  </si>
  <si>
    <t>Nussir original feasibility report; project NAV already includes mine capital, and is not corporate equity value.</t>
  </si>
  <si>
    <t>https://www.sec.gov/Archives/edgar/data/1732379/000155485526000680/ex961_1.htm</t>
  </si>
  <si>
    <t>Proposed Nussir USD70m precious metals stream, gold/silver delivery percentages and step-downs. Net financing deductions are analyst estimates after crediting proceeds.</t>
  </si>
  <si>
    <t>https://bluemoonmetals.com/blue-moon-metals-secures-up-to-us140-million-project-finance-package-from-hartree-oaktree-to-advance-flagship-nussir-project-in-norway/</t>
  </si>
  <si>
    <t>September 14 announced Elmet equity, warrants, repayable advance and 20% APT stake. Deal completion remains conditional; USD75m/70% is a heuristic JV value, not an appraisal.</t>
  </si>
  <si>
    <t>https://www.sec.gov/Archives/edgar/data/1732379/000155485526001998/ex991_1.htm</t>
  </si>
  <si>
    <t>September presentation: Springer 107,000-124,000 MTU potential and USD300-400/MTU cost estimates; historical resource is unverified. Model life, restart capex, taxes, payability and risk factors are analyst assumptions.</t>
  </si>
  <si>
    <t>https://bluemoonmetals.com/wp-content/uploads/2026/09/MOON-September-2026-Corporate-Presentation-1.pdf</t>
  </si>
  <si>
    <t>Water/land consideration: USD3.5m cash plus USD4.5m shares at future VWAP, expected completion early 2027. Share issue price USD5.20 is an estimate.</t>
  </si>
  <si>
    <t>https://bluemoonmetals.com/blue-moon-acquires-strategic-water-rights-and-land-package-for-springer/</t>
  </si>
  <si>
    <t>California standalone PEA NPV8 USD244m base, USD163m at 10% lower prices and USD340m historical spot; no additional DSO synergy credited.</t>
  </si>
  <si>
    <t>https://bluemoonmetals.com/project/blue-moon/</t>
  </si>
  <si>
    <t>ESA infringement proceedings include Repparfjord; valuation retains material permitting risk. Proceedings do not establish automatic Nussir permit revocation.</t>
  </si>
  <si>
    <t>https://www.eftasurv.int/newsroom/updates/esa-calls-norway-comply-eea-rules-protection-water-environment</t>
  </si>
  <si>
    <t>Management states Nussir permits remain in good standing and discusses legal uncertainty, August 13, 2026.</t>
  </si>
  <si>
    <t>https://bluemoonmetals.com/blue-moon-clarifies-state-of-nussir-project/</t>
  </si>
  <si>
    <t>Apex historical-resource limitations; USD10m/25m/60m net option values are analyst judgments, not company economic-study NPVs.</t>
  </si>
  <si>
    <t>https://bluemoonmetals.com/project/apex/</t>
  </si>
  <si>
    <t>BMM reference quote USD5.20 at 2026-09-15 14:32:44 UTC via Modeledge price provider. CAD/USD1.40 is a fixed modeling assumption; no live FX quote asserted.</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</si>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</sst>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quot;$&quot;0.0"/>
    <numFmt numFmtId="167" formatCode="0.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25</v>
      </c>
    </row>
    <row r="6">
      <c r="A6" s="4" t="s">
        <v>4</v>
      </c>
      <c r="B6" s="5">
        <v>0.4</v>
      </c>
    </row>
    <row r="7">
      <c r="A7" s="4" t="s">
        <v>5</v>
      </c>
      <c r="B7">
        <v>244</v>
      </c>
    </row>
    <row r="8">
      <c r="A8" s="4" t="s">
        <v>6</v>
      </c>
      <c r="B8">
        <v>1.4</v>
      </c>
    </row>
    <row r="9">
      <c r="A9" s="4" t="s">
        <v>7</v>
      </c>
      <c r="B9" s="5">
        <v>0.85</v>
      </c>
    </row>
    <row r="10">
      <c r="A10" s="4" t="s">
        <v>8</v>
      </c>
      <c r="B10">
        <v>35</v>
      </c>
    </row>
    <row r="11">
      <c r="A11" s="4" t="s">
        <v>9</v>
      </c>
      <c r="B11">
        <v>5.13</v>
      </c>
    </row>
    <row r="12">
      <c r="A12" s="4" t="s">
        <v>10</v>
      </c>
      <c r="B12">
        <v>1</v>
      </c>
    </row>
    <row r="13">
      <c r="A13" s="4" t="s">
        <v>11</v>
      </c>
      <c r="B13">
        <v>15</v>
      </c>
    </row>
    <row r="14">
      <c r="A14" s="4" t="s">
        <v>12</v>
      </c>
      <c r="B14">
        <v>40</v>
      </c>
    </row>
    <row r="15">
      <c r="A15" s="4" t="s">
        <v>13</v>
      </c>
      <c r="B15" s="5">
        <v>0.7</v>
      </c>
    </row>
    <row r="16">
      <c r="A16" s="4" t="s">
        <v>14</v>
      </c>
      <c r="B16">
        <v>235</v>
      </c>
    </row>
    <row r="17">
      <c r="A17" s="4" t="s">
        <v>15</v>
      </c>
      <c r="B17">
        <v>15</v>
      </c>
    </row>
    <row r="18">
      <c r="A18" s="4" t="s">
        <v>16</v>
      </c>
      <c r="B18">
        <v>75</v>
      </c>
    </row>
    <row r="19">
      <c r="A19" s="4" t="s">
        <v>17</v>
      </c>
      <c r="B19">
        <v>400</v>
      </c>
    </row>
    <row r="20">
      <c r="A20" s="4" t="s">
        <v>18</v>
      </c>
      <c r="B20" s="5">
        <v>0.12</v>
      </c>
    </row>
    <row r="21">
      <c r="A21" s="4" t="s">
        <v>19</v>
      </c>
      <c r="B21">
        <v>10</v>
      </c>
    </row>
    <row r="22">
      <c r="A22" s="4" t="s">
        <v>20</v>
      </c>
      <c r="B22">
        <v>115000</v>
      </c>
    </row>
    <row r="23">
      <c r="A23" s="4" t="s">
        <v>21</v>
      </c>
      <c r="B23" s="5">
        <v>0.65</v>
      </c>
    </row>
    <row r="24">
      <c r="A24" s="4" t="s">
        <v>22</v>
      </c>
      <c r="B24">
        <v>1200</v>
      </c>
    </row>
    <row r="25">
      <c r="A25" s="3" t="s">
        <v>23</v>
      </c>
    </row>
    <row r="26">
      <c r="A26" s="4" t="s">
        <v>24</v>
      </c>
      <c r="B26">
        <v>0.2</v>
      </c>
    </row>
    <row r="27">
      <c r="A27" s="4" t="s">
        <v>25</v>
      </c>
      <c r="B27">
        <v>0.7</v>
      </c>
    </row>
    <row r="28">
      <c r="A28" s="4" t="s">
        <v>26</v>
      </c>
      <c r="B28">
        <v>75</v>
      </c>
    </row>
    <row r="29">
      <c r="A29" s="4" t="s">
        <v>27</v>
      </c>
      <c r="B29">
        <v>104.863001</v>
      </c>
    </row>
    <row r="30">
      <c r="A30" s="4" t="s">
        <v>28</v>
      </c>
      <c r="B30">
        <v>12.5</v>
      </c>
    </row>
    <row r="31">
      <c r="A31" s="4" t="s">
        <v>29</v>
      </c>
      <c r="B31">
        <v>159.129572</v>
      </c>
    </row>
    <row r="32">
      <c r="A32" s="4" t="s">
        <v>30</v>
      </c>
      <c r="B32">
        <v>25</v>
      </c>
    </row>
    <row r="33">
      <c r="A33" s="4" t="s">
        <v>31</v>
      </c>
      <c r="B33">
        <v>3.5</v>
      </c>
    </row>
    <row r="34">
      <c r="A34" s="4" t="s">
        <v>32</v>
      </c>
      <c r="B34">
        <v>3.5</v>
      </c>
    </row>
    <row r="35">
      <c r="A35" s="4" t="s">
        <v>33</v>
      </c>
      <c r="B35">
        <v>10.8</v>
      </c>
    </row>
    <row r="36">
      <c r="A36" s="4" t="s">
        <v>34</v>
      </c>
      <c r="B36">
        <v>0.65376</v>
      </c>
    </row>
    <row r="37">
      <c r="A37" s="4" t="s">
        <v>35</v>
      </c>
      <c r="B37">
        <v>0.9452</v>
      </c>
    </row>
    <row r="38">
      <c r="A38" s="4" t="s">
        <v>36</v>
      </c>
      <c r="B38">
        <v>0.862529</v>
      </c>
    </row>
    <row r="39">
      <c r="A39" s="4" t="s">
        <v>37</v>
      </c>
      <c r="B39">
        <v>5</v>
      </c>
    </row>
    <row r="40">
      <c r="A40" s="4" t="s">
        <v>38</v>
      </c>
      <c r="B40">
        <v>2.8</v>
      </c>
    </row>
    <row r="41">
      <c r="A41" s="4" t="s">
        <v>39</v>
      </c>
      <c r="B41">
        <v>1.702544</v>
      </c>
    </row>
    <row r="42">
      <c r="A42" s="4" t="s">
        <v>40</v>
      </c>
      <c r="B42">
        <v>1.5</v>
      </c>
    </row>
    <row r="43">
      <c r="A43" s="4" t="s">
        <v>41</v>
      </c>
      <c r="B43">
        <v>0.02</v>
      </c>
    </row>
    <row r="44">
      <c r="A44" s="4" t="s">
        <v>42</v>
      </c>
      <c r="B44">
        <v>10</v>
      </c>
    </row>
    <row r="45">
      <c r="A45" s="4" t="s">
        <v>43</v>
      </c>
      <c r="B45">
        <v>0.25</v>
      </c>
    </row>
    <row r="46">
      <c r="A46" s="4" t="s">
        <v>44</v>
      </c>
      <c r="B46">
        <v>3.5</v>
      </c>
    </row>
    <row r="47">
      <c r="A47" s="4" t="s">
        <v>45</v>
      </c>
      <c r="B47">
        <v>5.2</v>
      </c>
    </row>
    <row r="48">
      <c r="A48" s="4" t="s">
        <v>46</v>
      </c>
      <c r="B48">
        <v>4.5</v>
      </c>
    </row>
    <row r="49">
      <c r="A49" s="3" t="s">
        <v>47</v>
      </c>
    </row>
    <row r="50">
      <c r="A50" s="4" t="s">
        <v>48</v>
      </c>
      <c r="B50" t="str">
        <f>IF(Model!$B$12&lt;&gt;0,(((Model!$B$28/Model!$B$27)*Model!$B$26)*Model!$B$23),0)</f>
      </c>
    </row>
    <row r="51">
      <c r="A51" s="4" t="s">
        <v>49</v>
      </c>
      <c r="B51" t="str">
        <f>(Model!$B$29*Model!$B$11)</f>
      </c>
    </row>
    <row r="52">
      <c r="A52" s="4" t="s">
        <v>50</v>
      </c>
      <c r="B52" t="str">
        <f>(Model!$B$7*Model!$B$6)</f>
      </c>
    </row>
    <row r="53">
      <c r="A53" s="4" t="s">
        <v>51</v>
      </c>
      <c r="B53" t="str">
        <f>IF(Model!$B$12&lt;&gt;0,Model!$B$32,0)</f>
      </c>
    </row>
    <row r="54">
      <c r="A54" s="4" t="s">
        <v>52</v>
      </c>
      <c r="B54" t="str">
        <f>IF(Model!$B$12&lt;&gt;0,Model!$B$33,0)</f>
      </c>
    </row>
    <row r="55">
      <c r="A55" s="4" t="s">
        <v>53</v>
      </c>
      <c r="B55" t="str">
        <f>(Model!$B$30+(Model!$B$36/Model!$B$8))</f>
      </c>
    </row>
    <row r="56">
      <c r="A56" s="4" t="s">
        <v>54</v>
      </c>
      <c r="B56" t="str">
        <f>((MAX(0,(Model!$B$16-Model!$B$14))*Model!$B$37)*Model!$B$15)</f>
      </c>
    </row>
    <row r="57">
      <c r="A57" s="4" t="s">
        <v>55</v>
      </c>
      <c r="B57" t="str">
        <f>((1-POWER((1+Model!$B$20),(-Model!$B$21)))/Model!$B$20)</f>
      </c>
    </row>
    <row r="58">
      <c r="A58" s="4" t="s">
        <v>56</v>
      </c>
      <c r="B58" t="str">
        <f>(((Model!$B$22*Model!$B$24)*Model!$B$9)/1000000)</f>
      </c>
    </row>
    <row r="59">
      <c r="A59" s="4" t="s">
        <v>57</v>
      </c>
      <c r="B59" t="str">
        <f>(Model!$B$35/Model!$B$8)</f>
      </c>
    </row>
    <row r="60">
      <c r="A60" s="4" t="s">
        <v>58</v>
      </c>
      <c r="B60" t="str">
        <f>((((((Model!$B$31/Model!$B$8)+Model!$B$53)-Model!$B$39)-Model!$B$46)-Model!$B$13)-(Model!$B$41/Model!$B$8))</f>
      </c>
    </row>
    <row r="61">
      <c r="A61" s="4" t="s">
        <v>59</v>
      </c>
      <c r="B61" t="str">
        <f>((((Model!$B$29+Model!$B$38)+Model!$B$40)+(Model!$B$48/Model!$B$47))+Model!$B$54)</f>
      </c>
    </row>
    <row r="62">
      <c r="A62" s="4" t="s">
        <v>60</v>
      </c>
      <c r="B62" t="str">
        <f>((((Model!$B$58*(1-Model!$B$43))-((Model!$B$22*Model!$B$19)/1000000))-Model!$B$44)*(1-Model!$B$45))</f>
      </c>
    </row>
    <row r="63">
      <c r="A63" s="4" t="s">
        <v>61</v>
      </c>
      <c r="B63" t="str">
        <f>(((Model!$B$62*Model!$B$57)/POWER((1+Model!$B$20),Model!$B$42))-Model!$B$18)</f>
      </c>
    </row>
    <row r="64">
      <c r="A64" s="4" t="s">
        <v>62</v>
      </c>
      <c r="B64" t="str">
        <f>(MAX(0,Model!$B$63)*Model!$B$23)</f>
      </c>
    </row>
    <row r="65">
      <c r="A65" s="4" t="s">
        <v>63</v>
      </c>
      <c r="B65" t="str">
        <f>MAX(0,((((((((Model!$B$56+Model!$B$52)+Model!$B$64)+Model!$B$50)+Model!$B$5)+Model!$B$17)+Model!$B$60)-Model!$B$55)-Model!$B$10))</f>
      </c>
    </row>
    <row r="66">
      <c r="A66" s="4" t="s">
        <v>64</v>
      </c>
      <c r="B66" t="str">
        <f>(Model!$B$65/Model!$B$61)</f>
      </c>
    </row>
    <row r="67">
      <c r="A67" s="4" t="s">
        <v>65</v>
      </c>
      <c r="B67" t="str">
        <f>IF(IF(AND(Model!$B$12&lt;&gt;0,IF(Model!$B$66&gt;Model!$B$59,1,0)&lt;&gt;0),1,0)&lt;&gt;0,Model!$B$34,0)</f>
      </c>
    </row>
    <row r="68">
      <c r="A68" s="4" t="s">
        <v>66</v>
      </c>
      <c r="B68" t="str">
        <f>(Model!$B$65+(Model!$B$67*Model!$B$59))</f>
      </c>
    </row>
    <row r="69">
      <c r="A69" s="4" t="s">
        <v>67</v>
      </c>
      <c r="B69" t="str">
        <f>(Model!$B$61+Model!$B$67)</f>
      </c>
    </row>
    <row r="70">
      <c r="A70" s="4" t="s">
        <v>68</v>
      </c>
      <c r="B70" t="str">
        <f>(Model!$B$68/Model!$B$69)</f>
      </c>
    </row>
    <row r="71">
      <c r="A71" s="4" t="s">
        <v>69</v>
      </c>
      <c r="B71" t="str">
        <f>((Model!$B$70/Model!$B$11)-1)</f>
      </c>
    </row>
    <row r="72">
      <c r="A72" s="3" t="s">
        <v>70</v>
      </c>
    </row>
    <row r="73">
      <c r="A73" s="4" t="s">
        <v>71</v>
      </c>
      <c r="B73" s="6" t="str">
        <f>Model!$B$70</f>
      </c>
    </row>
    <row r="74">
      <c r="A74" s="4" t="s">
        <v>72</v>
      </c>
      <c r="B74" s="5" t="str">
        <f>Model!$B$71</f>
      </c>
    </row>
    <row r="75">
      <c r="A75" s="4" t="s">
        <v>73</v>
      </c>
      <c r="B75" s="7" t="str">
        <f>Model!$B$65</f>
      </c>
    </row>
    <row r="76">
      <c r="A76" s="4" t="s">
        <v>74</v>
      </c>
      <c r="B76" s="7" t="str">
        <f>Model!$B$56</f>
      </c>
    </row>
    <row r="77">
      <c r="A77" s="4" t="s">
        <v>75</v>
      </c>
      <c r="B77" s="7" t="str">
        <f>Model!$B$52</f>
      </c>
    </row>
    <row r="78">
      <c r="A78" s="4" t="s">
        <v>76</v>
      </c>
      <c r="B78" s="7" t="str">
        <f>Model!$B$62</f>
      </c>
    </row>
    <row r="79">
      <c r="A79" s="4" t="s">
        <v>77</v>
      </c>
      <c r="B79" s="7" t="str">
        <f>Model!$B$63</f>
      </c>
    </row>
    <row r="80">
      <c r="A80" s="4" t="s">
        <v>78</v>
      </c>
      <c r="B80" s="7" t="str">
        <f>Model!$B$64</f>
      </c>
    </row>
    <row r="81">
      <c r="A81" s="4" t="s">
        <v>79</v>
      </c>
      <c r="B81" s="7" t="str">
        <f>Model!$B$50</f>
      </c>
    </row>
    <row r="82">
      <c r="A82" s="4" t="s">
        <v>80</v>
      </c>
      <c r="B82" s="7" t="str">
        <f>Model!$B$5</f>
      </c>
    </row>
    <row r="83">
      <c r="A83" s="4" t="s">
        <v>81</v>
      </c>
      <c r="B83" s="7" t="str">
        <f>Model!$B$17</f>
      </c>
    </row>
    <row r="84">
      <c r="A84" s="4" t="s">
        <v>82</v>
      </c>
      <c r="B84" s="7" t="str">
        <f>Model!$B$60</f>
      </c>
    </row>
    <row r="85">
      <c r="A85" s="4" t="s">
        <v>83</v>
      </c>
      <c r="B85" s="7" t="str">
        <f>Model!$B$55</f>
      </c>
    </row>
    <row r="86">
      <c r="A86" s="4" t="s">
        <v>84</v>
      </c>
      <c r="B86" s="7" t="str">
        <f>Model!$B$10</f>
      </c>
    </row>
    <row r="87">
      <c r="A87" s="4" t="s">
        <v>85</v>
      </c>
      <c r="B87" s="8" t="str">
        <f>Model!$B$69</f>
      </c>
    </row>
    <row r="88">
      <c r="A88" s="4" t="s">
        <v>86</v>
      </c>
      <c r="B88" s="7" t="str">
        <f>Model!$B$51</f>
      </c>
    </row>
    <row r="90">
      <c r="A90" s="3" t="s">
        <v>87</v>
      </c>
    </row>
    <row r="91">
      <c r="A91" s="4" t="s">
        <v>88</v>
      </c>
      <c r="B91" t="s">
        <v>89</v>
      </c>
    </row>
    <row r="92">
      <c r="A92" s="4" t="s">
        <v>90</v>
      </c>
      <c r="B92" t="s">
        <v>91</v>
      </c>
    </row>
    <row r="93">
      <c r="A93" s="4" t="s">
        <v>92</v>
      </c>
      <c r="B93" t="s">
        <v>93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134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94</v>
      </c>
      <c r="B1" s="3" t="s">
        <v>95</v>
      </c>
      <c r="C1" s="3" t="s">
        <v>96</v>
      </c>
    </row>
    <row r="2">
      <c r="A2" t="s">
        <v>97</v>
      </c>
      <c r="B2" t="s">
        <v>89</v>
      </c>
      <c r="C2" t="s">
        <v>98</v>
      </c>
    </row>
    <row r="3">
      <c r="A3" t="s">
        <v>99</v>
      </c>
      <c r="B3" t="s">
        <v>100</v>
      </c>
      <c r="C3" t="s">
        <v>98</v>
      </c>
    </row>
    <row r="4">
      <c r="A4" t="s">
        <v>101</v>
      </c>
      <c r="B4" t="s">
        <v>102</v>
      </c>
      <c r="C4" t="s">
        <v>98</v>
      </c>
    </row>
    <row r="5">
      <c r="A5" t="s">
        <v>103</v>
      </c>
      <c r="B5" t="s">
        <v>104</v>
      </c>
      <c r="C5" t="s">
        <v>105</v>
      </c>
    </row>
    <row r="6">
      <c r="A6" t="s">
        <v>106</v>
      </c>
      <c r="B6" t="s">
        <v>89</v>
      </c>
      <c r="C6" t="s">
        <v>105</v>
      </c>
    </row>
    <row r="7">
      <c r="A7" t="s">
        <v>107</v>
      </c>
      <c r="B7" t="s">
        <v>108</v>
      </c>
      <c r="C7" t="s">
        <v>109</v>
      </c>
    </row>
    <row r="8">
      <c r="A8" t="s">
        <v>110</v>
      </c>
      <c r="B8" t="s">
        <v>89</v>
      </c>
      <c r="C8" t="s">
        <v>109</v>
      </c>
    </row>
    <row r="9">
      <c r="A9" t="s">
        <v>111</v>
      </c>
      <c r="B9" t="s">
        <v>112</v>
      </c>
      <c r="C9" t="s">
        <v>89</v>
      </c>
    </row>
    <row r="10">
      <c r="A10" t="s">
        <v>113</v>
      </c>
      <c r="B10" t="s">
        <v>114</v>
      </c>
      <c r="C10" t="s">
        <v>89</v>
      </c>
    </row>
    <row r="11">
      <c r="A11" t="s">
        <v>115</v>
      </c>
      <c r="B11" t="s">
        <v>116</v>
      </c>
      <c r="C11" t="s">
        <v>89</v>
      </c>
    </row>
    <row r="12">
      <c r="A12" t="s">
        <v>117</v>
      </c>
      <c r="B12" t="s">
        <v>118</v>
      </c>
      <c r="C12" t="s">
        <v>89</v>
      </c>
    </row>
    <row r="13">
      <c r="A13" t="s">
        <v>119</v>
      </c>
      <c r="B13" t="s">
        <v>120</v>
      </c>
      <c r="C13" t="s">
        <v>89</v>
      </c>
    </row>
    <row r="14">
      <c r="A14" t="s">
        <v>121</v>
      </c>
      <c r="B14" t="s">
        <v>122</v>
      </c>
      <c r="C14" t="s">
        <v>89</v>
      </c>
    </row>
    <row r="15">
      <c r="A15" t="s">
        <v>123</v>
      </c>
      <c r="B15" t="s">
        <v>124</v>
      </c>
      <c r="C15" t="s">
        <v>89</v>
      </c>
    </row>
    <row r="16">
      <c r="A16" t="s">
        <v>125</v>
      </c>
      <c r="B16" t="s">
        <v>126</v>
      </c>
      <c r="C16" t="s">
        <v>89</v>
      </c>
    </row>
    <row r="17">
      <c r="A17" t="s">
        <v>127</v>
      </c>
      <c r="B17" t="s">
        <v>128</v>
      </c>
      <c r="C17" t="s">
        <v>89</v>
      </c>
    </row>
    <row r="18">
      <c r="A18" t="s">
        <v>129</v>
      </c>
      <c r="B18" t="s">
        <v>130</v>
      </c>
      <c r="C18" t="s">
        <v>89</v>
      </c>
    </row>
    <row r="19">
      <c r="A19" t="s">
        <v>131</v>
      </c>
      <c r="B19" t="s">
        <v>132</v>
      </c>
      <c r="C19" t="s">
        <v>89</v>
      </c>
    </row>
    <row r="20">
      <c r="A20" t="s">
        <v>133</v>
      </c>
      <c r="B20" t="s">
        <v>89</v>
      </c>
      <c r="C20" t="s">
        <v>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